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ylorbritt/Desktop/"/>
    </mc:Choice>
  </mc:AlternateContent>
  <xr:revisionPtr revIDLastSave="0" documentId="8_{1D00001A-A696-E346-976D-C34D6FE86A2A}" xr6:coauthVersionLast="47" xr6:coauthVersionMax="47" xr10:uidLastSave="{00000000-0000-0000-0000-000000000000}"/>
  <bookViews>
    <workbookView xWindow="3660" yWindow="2660" windowWidth="27640" windowHeight="16940" xr2:uid="{12AE3910-E5B7-2849-A0F4-F2B8DDCA16F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C18" i="1"/>
  <c r="K17" i="1"/>
  <c r="I17" i="1"/>
  <c r="H17" i="1"/>
  <c r="G17" i="1"/>
  <c r="K16" i="1"/>
  <c r="J16" i="1"/>
  <c r="I16" i="1"/>
  <c r="H16" i="1"/>
  <c r="G16" i="1"/>
  <c r="K15" i="1"/>
  <c r="J15" i="1"/>
  <c r="I15" i="1"/>
  <c r="H15" i="1"/>
  <c r="G15" i="1"/>
  <c r="K14" i="1"/>
  <c r="J14" i="1"/>
  <c r="I14" i="1"/>
  <c r="H14" i="1"/>
  <c r="G14" i="1"/>
  <c r="K13" i="1"/>
  <c r="I13" i="1"/>
  <c r="H13" i="1"/>
  <c r="G13" i="1"/>
  <c r="K12" i="1"/>
  <c r="J12" i="1"/>
  <c r="I12" i="1"/>
  <c r="H12" i="1"/>
  <c r="G12" i="1"/>
  <c r="K11" i="1"/>
  <c r="J11" i="1"/>
  <c r="I11" i="1"/>
  <c r="H11" i="1"/>
  <c r="G11" i="1"/>
  <c r="K10" i="1"/>
  <c r="J10" i="1"/>
  <c r="I10" i="1"/>
  <c r="H10" i="1"/>
  <c r="G10" i="1"/>
  <c r="K9" i="1"/>
  <c r="J9" i="1"/>
  <c r="I9" i="1"/>
  <c r="H9" i="1"/>
  <c r="G9" i="1"/>
  <c r="K8" i="1"/>
  <c r="J8" i="1"/>
  <c r="I8" i="1"/>
  <c r="H8" i="1"/>
  <c r="G8" i="1"/>
  <c r="K7" i="1"/>
  <c r="J7" i="1"/>
  <c r="I7" i="1"/>
  <c r="H7" i="1"/>
  <c r="G7" i="1"/>
  <c r="J6" i="1"/>
  <c r="I6" i="1"/>
  <c r="H6" i="1"/>
  <c r="G6" i="1"/>
  <c r="K5" i="1"/>
  <c r="K18" i="1" s="1"/>
  <c r="J5" i="1"/>
  <c r="J18" i="1" s="1"/>
  <c r="I5" i="1"/>
  <c r="I18" i="1" s="1"/>
  <c r="H5" i="1"/>
  <c r="H18" i="1" s="1"/>
  <c r="G5" i="1"/>
  <c r="G18" i="1" s="1"/>
</calcChain>
</file>

<file path=xl/sharedStrings.xml><?xml version="1.0" encoding="utf-8"?>
<sst xmlns="http://schemas.openxmlformats.org/spreadsheetml/2006/main" count="68" uniqueCount="44">
  <si>
    <t>Houston Ship Channel TREES Program - Total ES Metrics for All Targeted Tree Plantings</t>
  </si>
  <si>
    <t>Date of Planting: 11.03.2023 Texas Arbor Day</t>
  </si>
  <si>
    <t>Location: Cesar Chavez High School</t>
  </si>
  <si>
    <t>Volunteer Groups</t>
  </si>
  <si>
    <t>Tree Species Planted</t>
  </si>
  <si>
    <t># of Trees Planted</t>
  </si>
  <si>
    <t>Size of Trees Planted</t>
  </si>
  <si>
    <t>Mycorrhiza Fungi Relationship AM or EM[5]</t>
  </si>
  <si>
    <r>
      <t>DBH Variable (inches)</t>
    </r>
    <r>
      <rPr>
        <b/>
        <vertAlign val="superscript"/>
        <sz val="12"/>
        <color theme="1"/>
        <rFont val="Calibri"/>
        <family val="2"/>
      </rPr>
      <t>[1]</t>
    </r>
  </si>
  <si>
    <r>
      <t>Total CO2 Sequestered (lbs./year)</t>
    </r>
    <r>
      <rPr>
        <b/>
        <vertAlign val="superscript"/>
        <sz val="12"/>
        <color theme="1"/>
        <rFont val="Calibri"/>
        <family val="2"/>
      </rPr>
      <t>[2]</t>
    </r>
  </si>
  <si>
    <r>
      <t>Total CO2 Stored (lbs. at 10 year)</t>
    </r>
    <r>
      <rPr>
        <b/>
        <vertAlign val="superscript"/>
        <sz val="12"/>
        <color theme="1"/>
        <rFont val="Calibri"/>
        <family val="2"/>
      </rPr>
      <t>[2]</t>
    </r>
  </si>
  <si>
    <r>
      <t>Water Absorption (gal./year)</t>
    </r>
    <r>
      <rPr>
        <b/>
        <vertAlign val="superscript"/>
        <sz val="12"/>
        <color theme="1"/>
        <rFont val="Calibri"/>
        <family val="2"/>
      </rPr>
      <t>[3]</t>
    </r>
  </si>
  <si>
    <r>
      <t>Air Pollutant Removal w/PM2.5 (lbs./year)</t>
    </r>
    <r>
      <rPr>
        <b/>
        <vertAlign val="superscript"/>
        <sz val="12"/>
        <color theme="1"/>
        <rFont val="Calibri"/>
        <family val="2"/>
      </rPr>
      <t>[3]</t>
    </r>
  </si>
  <si>
    <r>
      <t>Tree Canopy Width (ft)</t>
    </r>
    <r>
      <rPr>
        <b/>
        <vertAlign val="superscript"/>
        <sz val="12"/>
        <color theme="1"/>
        <rFont val="Calibri"/>
        <family val="2"/>
      </rPr>
      <t>[4]</t>
    </r>
  </si>
  <si>
    <t>Shell, JLL Real Estate, Apache, North Houson Early College High School, UH Society of Women Engineers</t>
  </si>
  <si>
    <t>Am. Sycamore</t>
  </si>
  <si>
    <t>3 gal</t>
  </si>
  <si>
    <t>AM</t>
  </si>
  <si>
    <t>Boxelder</t>
  </si>
  <si>
    <t>Green Ash</t>
  </si>
  <si>
    <t>EM/AM</t>
  </si>
  <si>
    <t>Laurel Oak</t>
  </si>
  <si>
    <t>Live Oak</t>
  </si>
  <si>
    <t>Loblolly Pine</t>
  </si>
  <si>
    <t>Red Maple</t>
  </si>
  <si>
    <t>River Birch</t>
  </si>
  <si>
    <t>Pecan</t>
  </si>
  <si>
    <t>EM</t>
  </si>
  <si>
    <t>Tulip Trees</t>
  </si>
  <si>
    <t>Water Oak</t>
  </si>
  <si>
    <t>Black Cherry</t>
  </si>
  <si>
    <t>Persimmon</t>
  </si>
  <si>
    <t>-</t>
  </si>
  <si>
    <t>Totals</t>
  </si>
  <si>
    <t>*Mulch, compost, and microfertilizer were added to trees planted to increase ecosystem services provided by Super Trees</t>
  </si>
  <si>
    <r>
      <t xml:space="preserve">The ES values of this </t>
    </r>
    <r>
      <rPr>
        <i/>
        <sz val="10"/>
        <color rgb="FF000000"/>
        <rFont val="Calibri"/>
        <family val="2"/>
      </rPr>
      <t>Super Tree</t>
    </r>
    <r>
      <rPr>
        <sz val="10"/>
        <color rgb="FF000000"/>
        <rFont val="Calibri"/>
        <family val="2"/>
      </rPr>
      <t xml:space="preserve"> species planting assumes no manual or natural  thinning of the trees and 100% transplant survival.  </t>
    </r>
  </si>
  <si>
    <t>There may be some reduction in the number of the trees that reach maturity.</t>
  </si>
  <si>
    <t>References</t>
  </si>
  <si>
    <t>1. Diameter at breast height measurements for 10 year old tree species</t>
  </si>
  <si>
    <t>2. CUFR carbon calculator - https://www.fs.usda.gov/ccrc/tool/cufr-tree-carbon-calculator-ctcc</t>
  </si>
  <si>
    <t>3. i-Tree Planting Tool - https://planting.itreetools.org/</t>
  </si>
  <si>
    <t>4. Virginia Nursery &amp; Landscape Association &amp; US Forest Service - http://dendro.cnre.vt.edu/predictions/canopy.cfm</t>
  </si>
  <si>
    <t xml:space="preserve">5.  The references of the arbuscular mycorrhizal (AM) and ectomycorrhizal (EM) structural characteristics - </t>
  </si>
  <si>
    <t xml:space="preserve">         https://houstonwilderness.org/houston-ship-channel-trees-program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</si>
</sst>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7">
    <xf numFmtId="0" fontId="0" fillId="0" borderId="0" xfId="0"/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4" fillId="0" borderId="10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6" fillId="0" borderId="13" xfId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16" fontId="7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6" fillId="0" borderId="15" xfId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16" fontId="7" fillId="0" borderId="16" xfId="0" applyNumberFormat="1" applyFont="1" applyBorder="1" applyAlignment="1">
      <alignment horizontal="center"/>
    </xf>
    <xf numFmtId="16" fontId="7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" fontId="7" fillId="0" borderId="19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0" fontId="6" fillId="0" borderId="22" xfId="1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/>
    </xf>
    <xf numFmtId="16" fontId="7" fillId="0" borderId="16" xfId="2" applyNumberFormat="1" applyFont="1" applyBorder="1" applyAlignment="1">
      <alignment horizontal="center" vertical="center"/>
    </xf>
    <xf numFmtId="3" fontId="7" fillId="0" borderId="16" xfId="2" applyNumberFormat="1" applyFont="1" applyBorder="1" applyAlignment="1">
      <alignment horizontal="center" vertical="center"/>
    </xf>
    <xf numFmtId="3" fontId="7" fillId="2" borderId="16" xfId="2" applyNumberFormat="1" applyFont="1" applyFill="1" applyBorder="1" applyAlignment="1">
      <alignment horizontal="center" vertical="center"/>
    </xf>
    <xf numFmtId="165" fontId="7" fillId="0" borderId="16" xfId="2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4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/>
    </xf>
    <xf numFmtId="3" fontId="3" fillId="0" borderId="11" xfId="1" applyNumberFormat="1" applyFont="1" applyBorder="1" applyAlignment="1">
      <alignment horizontal="center"/>
    </xf>
    <xf numFmtId="3" fontId="3" fillId="0" borderId="12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0" fillId="0" borderId="0" xfId="1" applyFont="1" applyAlignment="1">
      <alignment horizontal="center"/>
    </xf>
    <xf numFmtId="3" fontId="11" fillId="0" borderId="0" xfId="1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12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3" fontId="14" fillId="0" borderId="0" xfId="1" applyNumberFormat="1" applyFont="1" applyAlignment="1">
      <alignment horizontal="center"/>
    </xf>
    <xf numFmtId="0" fontId="15" fillId="0" borderId="0" xfId="0" applyFont="1"/>
    <xf numFmtId="0" fontId="17" fillId="0" borderId="0" xfId="1" applyFont="1"/>
    <xf numFmtId="0" fontId="14" fillId="0" borderId="0" xfId="1" applyFont="1"/>
    <xf numFmtId="0" fontId="18" fillId="0" borderId="0" xfId="1" applyFont="1"/>
    <xf numFmtId="0" fontId="1" fillId="0" borderId="0" xfId="1"/>
    <xf numFmtId="0" fontId="19" fillId="0" borderId="0" xfId="1" applyFont="1"/>
    <xf numFmtId="0" fontId="17" fillId="0" borderId="0" xfId="0" applyFont="1"/>
    <xf numFmtId="0" fontId="19" fillId="0" borderId="0" xfId="0" applyFont="1"/>
  </cellXfs>
  <cellStyles count="3">
    <cellStyle name="Normal" xfId="0" builtinId="0"/>
    <cellStyle name="Normal 2" xfId="1" xr:uid="{41803979-D5C0-3A4F-BF69-AB581A20C61F}"/>
    <cellStyle name="Normal 3" xfId="2" xr:uid="{157A32DB-431C-8A44-8266-503C04CC4B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793751</xdr:colOff>
      <xdr:row>18</xdr:row>
      <xdr:rowOff>221456</xdr:rowOff>
    </xdr:from>
    <xdr:ext cx="868362" cy="961325"/>
    <xdr:pic>
      <xdr:nvPicPr>
        <xdr:cNvPr id="2" name="Picture 1">
          <a:extLst>
            <a:ext uri="{FF2B5EF4-FFF2-40B4-BE49-F238E27FC236}">
              <a16:creationId xmlns:a16="http://schemas.microsoft.com/office/drawing/2014/main" id="{3A5D281E-DF84-8545-A0A0-83DAE9AED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0351" y="4806156"/>
          <a:ext cx="868362" cy="961325"/>
        </a:xfrm>
        <a:prstGeom prst="rect">
          <a:avLst/>
        </a:prstGeom>
      </xdr:spPr>
    </xdr:pic>
    <xdr:clientData/>
  </xdr:oneCellAnchor>
  <xdr:twoCellAnchor>
    <xdr:from>
      <xdr:col>0</xdr:col>
      <xdr:colOff>107950</xdr:colOff>
      <xdr:row>28</xdr:row>
      <xdr:rowOff>8337</xdr:rowOff>
    </xdr:from>
    <xdr:to>
      <xdr:col>4</xdr:col>
      <xdr:colOff>117871</xdr:colOff>
      <xdr:row>31</xdr:row>
      <xdr:rowOff>33100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EA58FCC-D094-164E-86A9-0587253889D4}"/>
            </a:ext>
          </a:extLst>
        </xdr:cNvPr>
        <xdr:cNvSpPr txBox="1"/>
      </xdr:nvSpPr>
      <xdr:spPr>
        <a:xfrm>
          <a:off x="107950" y="6828237"/>
          <a:ext cx="4200921" cy="63436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*</a:t>
          </a:r>
          <a:r>
            <a:rPr lang="en-US" sz="1000" baseline="0"/>
            <a:t> </a:t>
          </a:r>
          <a:r>
            <a:rPr lang="en-US" sz="1000"/>
            <a:t>Teste, François P., et al. “Dual‐mycorrhizal Plants: Their Ecology and Relevance.” </a:t>
          </a:r>
          <a:r>
            <a:rPr lang="en-US" sz="1000" i="1"/>
            <a:t>The New Phytologist</a:t>
          </a:r>
          <a:r>
            <a:rPr lang="en-US" sz="1000"/>
            <a:t>, vol. 225, no. 5, 2020, pp. 1835–51, https://doi.org/10.1111/nph.16190.</a:t>
          </a:r>
        </a:p>
      </xdr:txBody>
    </xdr:sp>
    <xdr:clientData/>
  </xdr:twoCellAnchor>
  <xdr:twoCellAnchor>
    <xdr:from>
      <xdr:col>0</xdr:col>
      <xdr:colOff>108348</xdr:colOff>
      <xdr:row>30</xdr:row>
      <xdr:rowOff>138669</xdr:rowOff>
    </xdr:from>
    <xdr:to>
      <xdr:col>4</xdr:col>
      <xdr:colOff>122079</xdr:colOff>
      <xdr:row>34</xdr:row>
      <xdr:rowOff>150098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D4AE53C-FDE3-2D40-B9DF-857FD58C2518}"/>
            </a:ext>
          </a:extLst>
        </xdr:cNvPr>
        <xdr:cNvSpPr txBox="1"/>
      </xdr:nvSpPr>
      <xdr:spPr>
        <a:xfrm>
          <a:off x="108348" y="7364969"/>
          <a:ext cx="4204731" cy="82422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*</a:t>
          </a:r>
          <a:r>
            <a:rPr lang="en-US" sz="1000" baseline="0"/>
            <a:t> </a:t>
          </a:r>
          <a:r>
            <a:rPr lang="en-US" sz="1000"/>
            <a:t>Heklau, Heike, et al. “Mixing Tree Species Associated with Arbuscular or Ectotrophic Mycorrhizae Reveals Dual Mycorrhization and Interactive Effects on the Fungal Partners.” </a:t>
          </a:r>
          <a:r>
            <a:rPr lang="en-US" sz="1000" i="1"/>
            <a:t>Ecology and Evolution</a:t>
          </a:r>
          <a:r>
            <a:rPr lang="en-US" sz="1000"/>
            <a:t>, vol. 11, no. 10, Wiley, 2021, pp. 5424–40, https://doi.org/10.1002/ece3.7437.</a:t>
          </a:r>
        </a:p>
      </xdr:txBody>
    </xdr:sp>
    <xdr:clientData/>
  </xdr:twoCellAnchor>
  <xdr:twoCellAnchor>
    <xdr:from>
      <xdr:col>0</xdr:col>
      <xdr:colOff>118666</xdr:colOff>
      <xdr:row>34</xdr:row>
      <xdr:rowOff>49609</xdr:rowOff>
    </xdr:from>
    <xdr:to>
      <xdr:col>3</xdr:col>
      <xdr:colOff>754062</xdr:colOff>
      <xdr:row>38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8BC5443-2EC6-2547-8BF4-DEF0D6D07DC1}"/>
            </a:ext>
          </a:extLst>
        </xdr:cNvPr>
        <xdr:cNvSpPr txBox="1"/>
      </xdr:nvSpPr>
      <xdr:spPr>
        <a:xfrm>
          <a:off x="118666" y="8088709"/>
          <a:ext cx="4026296" cy="76319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https://extension.okstate.edu/fact-sheets/mycorrhizal-fungi.html</a:t>
          </a:r>
          <a:endParaRPr lang="en-US" sz="1000"/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https://www.lebanonturf.com/education-center/tree-shrub-and-flower-care/mycorrhizal-types-on-important-plants</a:t>
          </a:r>
          <a:endParaRPr lang="en-US" sz="1000"/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https://www.arboristnow.com/news/mycorrhizae-my-favorite-kind-of-fungi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A4ECB-E210-CA4E-BCBF-8FFCB89C73CF}">
  <dimension ref="A1:K39"/>
  <sheetViews>
    <sheetView tabSelected="1" workbookViewId="0">
      <selection activeCell="Q19" sqref="Q19"/>
    </sheetView>
  </sheetViews>
  <sheetFormatPr baseColWidth="10" defaultRowHeight="16" x14ac:dyDescent="0.2"/>
  <cols>
    <col min="7" max="7" width="11.6640625" customWidth="1"/>
    <col min="9" max="10" width="11.5" customWidth="1"/>
  </cols>
  <sheetData>
    <row r="1" spans="1:11" ht="24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9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20" thickBot="1" x14ac:dyDescent="0.3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91" customHeight="1" thickBot="1" x14ac:dyDescent="0.25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2" t="s">
        <v>13</v>
      </c>
    </row>
    <row r="5" spans="1:11" x14ac:dyDescent="0.2">
      <c r="A5" s="13" t="s">
        <v>14</v>
      </c>
      <c r="B5" s="14" t="s">
        <v>15</v>
      </c>
      <c r="C5" s="14">
        <v>10</v>
      </c>
      <c r="D5" s="15" t="s">
        <v>16</v>
      </c>
      <c r="E5" s="15" t="s">
        <v>17</v>
      </c>
      <c r="F5" s="14">
        <v>9.1</v>
      </c>
      <c r="G5" s="16">
        <f>C5*111</f>
        <v>1110</v>
      </c>
      <c r="H5" s="16">
        <f>652*C5</f>
        <v>6520</v>
      </c>
      <c r="I5" s="16">
        <f>3203*C5</f>
        <v>32030</v>
      </c>
      <c r="J5" s="17">
        <f>1.9*C5</f>
        <v>19</v>
      </c>
      <c r="K5" s="16">
        <f>17*C5</f>
        <v>170</v>
      </c>
    </row>
    <row r="6" spans="1:11" x14ac:dyDescent="0.2">
      <c r="A6" s="18"/>
      <c r="B6" s="19" t="s">
        <v>18</v>
      </c>
      <c r="C6" s="19">
        <v>45</v>
      </c>
      <c r="D6" s="20" t="s">
        <v>16</v>
      </c>
      <c r="E6" s="21" t="s">
        <v>17</v>
      </c>
      <c r="F6" s="22">
        <v>7.28</v>
      </c>
      <c r="G6" s="23">
        <f>159*C6</f>
        <v>7155</v>
      </c>
      <c r="H6" s="23">
        <f>898*C6</f>
        <v>40410</v>
      </c>
      <c r="I6" s="23">
        <f>2392*C6</f>
        <v>107640</v>
      </c>
      <c r="J6" s="24">
        <f>1.3*C6</f>
        <v>58.5</v>
      </c>
      <c r="K6" s="19"/>
    </row>
    <row r="7" spans="1:11" x14ac:dyDescent="0.2">
      <c r="A7" s="18"/>
      <c r="B7" s="25" t="s">
        <v>19</v>
      </c>
      <c r="C7" s="25">
        <v>45</v>
      </c>
      <c r="D7" s="26" t="s">
        <v>16</v>
      </c>
      <c r="E7" s="26" t="s">
        <v>20</v>
      </c>
      <c r="F7" s="25">
        <v>5.5</v>
      </c>
      <c r="G7" s="27">
        <f>200*C7</f>
        <v>9000</v>
      </c>
      <c r="H7" s="27">
        <f>C7*624</f>
        <v>28080</v>
      </c>
      <c r="I7" s="27">
        <f>2305*C7</f>
        <v>103725</v>
      </c>
      <c r="J7" s="28">
        <f>C7*1.3</f>
        <v>58.5</v>
      </c>
      <c r="K7" s="29">
        <f>C7*11</f>
        <v>495</v>
      </c>
    </row>
    <row r="8" spans="1:11" x14ac:dyDescent="0.2">
      <c r="A8" s="18"/>
      <c r="B8" s="19" t="s">
        <v>21</v>
      </c>
      <c r="C8" s="19">
        <v>45</v>
      </c>
      <c r="D8" s="20" t="s">
        <v>16</v>
      </c>
      <c r="E8" s="20" t="s">
        <v>20</v>
      </c>
      <c r="F8" s="19">
        <v>8.44</v>
      </c>
      <c r="G8" s="29">
        <f>194*C8</f>
        <v>8730</v>
      </c>
      <c r="H8" s="29">
        <f>875*C8</f>
        <v>39375</v>
      </c>
      <c r="I8" s="29">
        <f>2936*C8</f>
        <v>132120</v>
      </c>
      <c r="J8" s="30">
        <f>1.3*C8</f>
        <v>58.5</v>
      </c>
      <c r="K8" s="29">
        <f>11*C8</f>
        <v>495</v>
      </c>
    </row>
    <row r="9" spans="1:11" x14ac:dyDescent="0.2">
      <c r="A9" s="18"/>
      <c r="B9" s="19" t="s">
        <v>22</v>
      </c>
      <c r="C9" s="19">
        <v>45</v>
      </c>
      <c r="D9" s="31" t="s">
        <v>16</v>
      </c>
      <c r="E9" s="31" t="s">
        <v>20</v>
      </c>
      <c r="F9" s="32">
        <v>8.58</v>
      </c>
      <c r="G9" s="33">
        <f>268*C9</f>
        <v>12060</v>
      </c>
      <c r="H9" s="33">
        <f>1023*C9</f>
        <v>46035</v>
      </c>
      <c r="I9" s="33">
        <f>3097*C9</f>
        <v>139365</v>
      </c>
      <c r="J9" s="34">
        <f>1.9*C9</f>
        <v>85.5</v>
      </c>
      <c r="K9" s="29">
        <f>13*C9</f>
        <v>585</v>
      </c>
    </row>
    <row r="10" spans="1:11" x14ac:dyDescent="0.2">
      <c r="A10" s="18"/>
      <c r="B10" s="19" t="s">
        <v>23</v>
      </c>
      <c r="C10" s="19">
        <v>70</v>
      </c>
      <c r="D10" s="20" t="s">
        <v>16</v>
      </c>
      <c r="E10" s="20" t="s">
        <v>20</v>
      </c>
      <c r="F10" s="19">
        <v>8.33</v>
      </c>
      <c r="G10" s="29">
        <f>C10*106</f>
        <v>7420</v>
      </c>
      <c r="H10" s="29">
        <f>479*C10</f>
        <v>33530</v>
      </c>
      <c r="I10" s="29">
        <f>1726*C10</f>
        <v>120820</v>
      </c>
      <c r="J10" s="35">
        <f>1.1*C10</f>
        <v>77</v>
      </c>
      <c r="K10" s="29">
        <f>11*C10</f>
        <v>770</v>
      </c>
    </row>
    <row r="11" spans="1:11" x14ac:dyDescent="0.2">
      <c r="A11" s="18"/>
      <c r="B11" s="19" t="s">
        <v>24</v>
      </c>
      <c r="C11" s="19">
        <v>20</v>
      </c>
      <c r="D11" s="20" t="s">
        <v>16</v>
      </c>
      <c r="E11" s="20" t="s">
        <v>17</v>
      </c>
      <c r="F11" s="19">
        <v>9.3800000000000008</v>
      </c>
      <c r="G11" s="29">
        <f>139*C11</f>
        <v>2780</v>
      </c>
      <c r="H11" s="29">
        <f>C11*859</f>
        <v>17180</v>
      </c>
      <c r="I11" s="29">
        <f>3022*C11</f>
        <v>60440</v>
      </c>
      <c r="J11" s="30">
        <f>C11*1.6</f>
        <v>32</v>
      </c>
      <c r="K11" s="29">
        <f>C11*14</f>
        <v>280</v>
      </c>
    </row>
    <row r="12" spans="1:11" x14ac:dyDescent="0.2">
      <c r="A12" s="18"/>
      <c r="B12" s="25" t="s">
        <v>25</v>
      </c>
      <c r="C12" s="25">
        <v>30</v>
      </c>
      <c r="D12" s="26" t="s">
        <v>16</v>
      </c>
      <c r="E12" s="26" t="s">
        <v>20</v>
      </c>
      <c r="F12" s="25">
        <v>8.5500000000000007</v>
      </c>
      <c r="G12" s="27">
        <f>215*C12</f>
        <v>6450</v>
      </c>
      <c r="H12" s="27">
        <f>C12*925</f>
        <v>27750</v>
      </c>
      <c r="I12" s="27">
        <f>3086*C12</f>
        <v>92580</v>
      </c>
      <c r="J12" s="36">
        <f>C12*1.3</f>
        <v>39</v>
      </c>
      <c r="K12" s="27">
        <f>C12*15</f>
        <v>450</v>
      </c>
    </row>
    <row r="13" spans="1:11" ht="17" x14ac:dyDescent="0.2">
      <c r="A13" s="37"/>
      <c r="B13" s="38" t="s">
        <v>26</v>
      </c>
      <c r="C13" s="39">
        <v>10</v>
      </c>
      <c r="D13" s="39" t="s">
        <v>16</v>
      </c>
      <c r="E13" s="40" t="s">
        <v>27</v>
      </c>
      <c r="F13" s="39">
        <v>4.97</v>
      </c>
      <c r="G13" s="41">
        <f>44*C13</f>
        <v>440</v>
      </c>
      <c r="H13" s="42">
        <f>135*10</f>
        <v>1350</v>
      </c>
      <c r="I13" s="41">
        <f>1283*C13</f>
        <v>12830</v>
      </c>
      <c r="J13" s="43">
        <v>5</v>
      </c>
      <c r="K13" s="41">
        <f>16*C13</f>
        <v>160</v>
      </c>
    </row>
    <row r="14" spans="1:11" x14ac:dyDescent="0.2">
      <c r="A14" s="18"/>
      <c r="B14" s="14" t="s">
        <v>28</v>
      </c>
      <c r="C14" s="14">
        <v>45</v>
      </c>
      <c r="D14" s="44" t="s">
        <v>16</v>
      </c>
      <c r="E14" s="15" t="s">
        <v>17</v>
      </c>
      <c r="F14" s="14">
        <v>9.76</v>
      </c>
      <c r="G14" s="16">
        <f>81*C14</f>
        <v>3645</v>
      </c>
      <c r="H14" s="16">
        <f>C14*659</f>
        <v>29655</v>
      </c>
      <c r="I14" s="16">
        <f>3505*C14</f>
        <v>157725</v>
      </c>
      <c r="J14" s="45">
        <f>C14*1.9</f>
        <v>85.5</v>
      </c>
      <c r="K14" s="16">
        <f>C14*14</f>
        <v>630</v>
      </c>
    </row>
    <row r="15" spans="1:11" x14ac:dyDescent="0.2">
      <c r="A15" s="18"/>
      <c r="B15" s="19" t="s">
        <v>29</v>
      </c>
      <c r="C15" s="19">
        <v>45</v>
      </c>
      <c r="D15" s="20" t="s">
        <v>16</v>
      </c>
      <c r="E15" s="20" t="s">
        <v>20</v>
      </c>
      <c r="F15" s="19">
        <v>8.41</v>
      </c>
      <c r="G15" s="29">
        <f>173*C15</f>
        <v>7785</v>
      </c>
      <c r="H15" s="29">
        <f>C15*869</f>
        <v>39105</v>
      </c>
      <c r="I15" s="29">
        <f>3357*C15</f>
        <v>151065</v>
      </c>
      <c r="J15" s="30">
        <f>C15*1.4</f>
        <v>62.999999999999993</v>
      </c>
      <c r="K15" s="29">
        <f>C15*13</f>
        <v>585</v>
      </c>
    </row>
    <row r="16" spans="1:11" x14ac:dyDescent="0.2">
      <c r="A16" s="18"/>
      <c r="B16" s="25" t="s">
        <v>30</v>
      </c>
      <c r="C16" s="25">
        <v>10</v>
      </c>
      <c r="D16" s="26" t="s">
        <v>16</v>
      </c>
      <c r="E16" s="26" t="s">
        <v>17</v>
      </c>
      <c r="F16" s="25"/>
      <c r="G16" s="27">
        <f>111*C16</f>
        <v>1110</v>
      </c>
      <c r="H16" s="27">
        <f>971*C16</f>
        <v>9710</v>
      </c>
      <c r="I16" s="27">
        <f>1839*C16</f>
        <v>18390</v>
      </c>
      <c r="J16" s="36">
        <f>1.3*C16</f>
        <v>13</v>
      </c>
      <c r="K16" s="27">
        <f>11*C16</f>
        <v>110</v>
      </c>
    </row>
    <row r="17" spans="1:11" ht="17" thickBot="1" x14ac:dyDescent="0.25">
      <c r="A17" s="18"/>
      <c r="B17" s="46" t="s">
        <v>31</v>
      </c>
      <c r="C17" s="46">
        <v>5</v>
      </c>
      <c r="D17" s="46" t="s">
        <v>16</v>
      </c>
      <c r="E17" s="46" t="s">
        <v>20</v>
      </c>
      <c r="F17" s="25"/>
      <c r="G17" s="27">
        <f>C17*38</f>
        <v>190</v>
      </c>
      <c r="H17" s="27">
        <f>C17*164</f>
        <v>820</v>
      </c>
      <c r="I17" s="27">
        <f>C17*1093</f>
        <v>5465</v>
      </c>
      <c r="J17" s="47">
        <f>C17*0.6</f>
        <v>3</v>
      </c>
      <c r="K17" s="25">
        <f>C17*14</f>
        <v>70</v>
      </c>
    </row>
    <row r="18" spans="1:11" ht="20" thickBot="1" x14ac:dyDescent="0.3">
      <c r="A18" s="48"/>
      <c r="B18" s="49"/>
      <c r="C18" s="49">
        <f>SUM(C5:C17)</f>
        <v>425</v>
      </c>
      <c r="D18" s="49" t="s">
        <v>32</v>
      </c>
      <c r="E18" s="49" t="s">
        <v>32</v>
      </c>
      <c r="F18" s="49" t="s">
        <v>32</v>
      </c>
      <c r="G18" s="50">
        <f>SUM(G5:G17)</f>
        <v>67875</v>
      </c>
      <c r="H18" s="50">
        <f>SUM(H5:H17)</f>
        <v>319520</v>
      </c>
      <c r="I18" s="50">
        <f>SUM(I5:I17)</f>
        <v>1134195</v>
      </c>
      <c r="J18" s="50">
        <f>SUM(J5:J17)</f>
        <v>597.5</v>
      </c>
      <c r="K18" s="51">
        <f>SUM(K5:K17)</f>
        <v>4800</v>
      </c>
    </row>
    <row r="19" spans="1:11" ht="20" thickBot="1" x14ac:dyDescent="0.3">
      <c r="A19" s="52" t="s">
        <v>33</v>
      </c>
      <c r="B19" s="53"/>
      <c r="C19" s="53"/>
      <c r="D19" s="53"/>
      <c r="E19" s="53"/>
      <c r="F19" s="53"/>
      <c r="G19" s="54"/>
      <c r="H19" s="54"/>
      <c r="I19" s="54"/>
      <c r="J19" s="55"/>
      <c r="K19" s="55"/>
    </row>
    <row r="20" spans="1:11" ht="19" x14ac:dyDescent="0.25">
      <c r="A20" s="56" t="s">
        <v>34</v>
      </c>
      <c r="B20" s="57"/>
      <c r="C20" s="57"/>
      <c r="D20" s="57"/>
      <c r="E20" s="57"/>
      <c r="F20" s="57"/>
      <c r="G20" s="58"/>
      <c r="H20" s="58"/>
      <c r="I20" s="58"/>
      <c r="J20" s="55"/>
      <c r="K20" s="55"/>
    </row>
    <row r="21" spans="1:11" ht="19" x14ac:dyDescent="0.25">
      <c r="A21" s="59" t="s">
        <v>35</v>
      </c>
      <c r="B21" s="57"/>
      <c r="C21" s="57"/>
      <c r="D21" s="57"/>
      <c r="E21" s="57"/>
      <c r="F21" s="57"/>
      <c r="G21" s="58"/>
      <c r="H21" s="58"/>
      <c r="I21" s="58"/>
      <c r="J21" s="55"/>
      <c r="K21" s="55"/>
    </row>
    <row r="22" spans="1:11" ht="19" x14ac:dyDescent="0.25">
      <c r="A22" s="59" t="s">
        <v>36</v>
      </c>
      <c r="B22" s="60"/>
      <c r="C22" s="60"/>
      <c r="D22" s="60"/>
      <c r="E22" s="60"/>
      <c r="F22" s="60"/>
      <c r="G22" s="60"/>
      <c r="H22" s="60"/>
      <c r="I22" s="60"/>
      <c r="J22" s="55"/>
      <c r="K22" s="55"/>
    </row>
    <row r="23" spans="1:11" ht="19" x14ac:dyDescent="0.25">
      <c r="A23" s="61" t="s">
        <v>37</v>
      </c>
      <c r="B23" s="60"/>
      <c r="C23" s="60"/>
      <c r="D23" s="60"/>
      <c r="E23" s="60"/>
      <c r="F23" s="60"/>
      <c r="G23" s="60"/>
      <c r="H23" s="60"/>
      <c r="I23" s="60"/>
      <c r="J23" s="55"/>
      <c r="K23" s="55"/>
    </row>
    <row r="24" spans="1:11" x14ac:dyDescent="0.2">
      <c r="A24" s="62" t="s">
        <v>38</v>
      </c>
      <c r="B24" s="60"/>
      <c r="C24" s="60"/>
      <c r="D24" s="60"/>
      <c r="E24" s="60"/>
      <c r="F24" s="60"/>
      <c r="G24" s="60"/>
      <c r="H24" s="60"/>
      <c r="I24" s="60"/>
      <c r="J24" s="63"/>
      <c r="K24" s="63"/>
    </row>
    <row r="25" spans="1:11" x14ac:dyDescent="0.2">
      <c r="A25" s="62" t="s">
        <v>39</v>
      </c>
      <c r="B25" s="60"/>
      <c r="C25" s="60"/>
      <c r="D25" s="60"/>
      <c r="E25" s="60"/>
      <c r="F25" s="60"/>
      <c r="G25" s="60"/>
      <c r="H25" s="60"/>
      <c r="I25" s="60"/>
      <c r="J25" s="63"/>
      <c r="K25" s="63"/>
    </row>
    <row r="26" spans="1:11" x14ac:dyDescent="0.2">
      <c r="A26" s="62" t="s">
        <v>40</v>
      </c>
      <c r="B26" s="60"/>
      <c r="C26" s="60"/>
      <c r="D26" s="60"/>
      <c r="E26" s="60"/>
      <c r="F26" s="60"/>
      <c r="G26" s="60"/>
      <c r="H26" s="60"/>
      <c r="I26" s="60"/>
      <c r="J26" s="63"/>
      <c r="K26" s="63"/>
    </row>
    <row r="27" spans="1:11" x14ac:dyDescent="0.2">
      <c r="A27" s="62" t="s">
        <v>41</v>
      </c>
      <c r="B27" s="60"/>
      <c r="C27" s="60"/>
      <c r="D27" s="60"/>
      <c r="E27" s="60"/>
      <c r="F27" s="60"/>
      <c r="G27" s="60"/>
      <c r="H27" s="60"/>
      <c r="I27" s="60"/>
      <c r="J27" s="63"/>
      <c r="K27" s="63"/>
    </row>
    <row r="28" spans="1:11" x14ac:dyDescent="0.2">
      <c r="A28" s="64" t="s">
        <v>42</v>
      </c>
      <c r="B28" s="60"/>
      <c r="C28" s="60"/>
      <c r="D28" s="60"/>
      <c r="E28" s="60"/>
      <c r="F28" s="60"/>
      <c r="G28" s="60"/>
      <c r="H28" s="60"/>
      <c r="I28" s="60"/>
      <c r="J28" s="63"/>
      <c r="K28" s="63"/>
    </row>
    <row r="29" spans="1:11" x14ac:dyDescent="0.2">
      <c r="A29" s="64"/>
      <c r="B29" s="60"/>
      <c r="C29" s="60"/>
      <c r="D29" s="60"/>
      <c r="E29" s="60"/>
      <c r="F29" s="60"/>
      <c r="G29" s="60"/>
      <c r="H29" s="60"/>
      <c r="I29" s="60"/>
      <c r="J29" s="63"/>
      <c r="K29" s="63"/>
    </row>
    <row r="30" spans="1:11" x14ac:dyDescent="0.2">
      <c r="A30" s="64"/>
      <c r="B30" s="60"/>
      <c r="C30" s="60"/>
      <c r="D30" s="60"/>
      <c r="E30" s="60"/>
      <c r="F30" s="60"/>
      <c r="G30" s="60"/>
      <c r="H30" s="60"/>
      <c r="I30" s="60"/>
      <c r="J30" s="63"/>
      <c r="K30" s="63"/>
    </row>
    <row r="31" spans="1:11" x14ac:dyDescent="0.2">
      <c r="A31" s="64"/>
      <c r="B31" s="60"/>
      <c r="C31" s="60"/>
      <c r="D31" s="60"/>
      <c r="E31" s="60"/>
      <c r="F31" s="60"/>
      <c r="G31" s="60"/>
      <c r="H31" s="60"/>
      <c r="I31" s="60"/>
      <c r="J31" s="63"/>
      <c r="K31" s="63"/>
    </row>
    <row r="32" spans="1:11" x14ac:dyDescent="0.2">
      <c r="A32" s="64"/>
      <c r="B32" s="60"/>
      <c r="C32" s="60"/>
      <c r="D32" s="60"/>
      <c r="E32" s="60"/>
      <c r="F32" s="60"/>
      <c r="G32" s="60"/>
      <c r="H32" s="60"/>
      <c r="I32" s="60"/>
      <c r="J32" s="63"/>
      <c r="K32" s="63"/>
    </row>
    <row r="33" spans="1:11" x14ac:dyDescent="0.2">
      <c r="A33" s="64"/>
      <c r="B33" s="60"/>
      <c r="C33" s="60"/>
      <c r="D33" s="60"/>
      <c r="E33" s="60"/>
      <c r="F33" s="60"/>
      <c r="G33" s="60"/>
      <c r="H33" s="60"/>
      <c r="I33" s="60"/>
      <c r="J33" s="63"/>
      <c r="K33" s="63"/>
    </row>
    <row r="34" spans="1:11" x14ac:dyDescent="0.2">
      <c r="A34" s="64"/>
      <c r="B34" s="60"/>
      <c r="C34" s="60"/>
      <c r="D34" s="60"/>
      <c r="E34" s="60"/>
      <c r="F34" s="60"/>
      <c r="G34" s="60"/>
      <c r="H34" s="60"/>
      <c r="I34" s="60"/>
      <c r="J34" s="63"/>
      <c r="K34" s="63"/>
    </row>
    <row r="35" spans="1:11" x14ac:dyDescent="0.2">
      <c r="A35" s="64"/>
      <c r="B35" s="60"/>
      <c r="C35" s="60"/>
      <c r="D35" s="60"/>
      <c r="E35" s="60"/>
      <c r="F35" s="60"/>
      <c r="G35" s="60"/>
      <c r="H35" s="60"/>
      <c r="I35" s="60"/>
      <c r="J35" s="63"/>
      <c r="K35" s="63"/>
    </row>
    <row r="36" spans="1:11" x14ac:dyDescent="0.2">
      <c r="A36" s="64"/>
      <c r="B36" s="60"/>
      <c r="C36" s="60"/>
      <c r="D36" s="60"/>
      <c r="E36" s="60"/>
      <c r="F36" s="60"/>
      <c r="G36" s="60"/>
      <c r="H36" s="60"/>
      <c r="I36" s="60"/>
      <c r="J36" s="63"/>
      <c r="K36" s="63"/>
    </row>
    <row r="37" spans="1:11" x14ac:dyDescent="0.2">
      <c r="A37" s="64"/>
      <c r="B37" s="60"/>
      <c r="C37" s="60"/>
      <c r="D37" s="60"/>
      <c r="E37" s="60"/>
      <c r="F37" s="60"/>
      <c r="G37" s="60"/>
      <c r="H37" s="60"/>
      <c r="I37" s="60"/>
      <c r="J37" s="63"/>
      <c r="K37" s="63"/>
    </row>
    <row r="38" spans="1:11" x14ac:dyDescent="0.2">
      <c r="A38" s="64"/>
      <c r="B38" s="65"/>
      <c r="C38" s="65"/>
      <c r="D38" s="65"/>
      <c r="E38" s="65"/>
      <c r="F38" s="65"/>
      <c r="G38" s="65"/>
      <c r="H38" s="65"/>
      <c r="I38" s="65"/>
      <c r="J38" s="63"/>
      <c r="K38" s="63"/>
    </row>
    <row r="39" spans="1:11" x14ac:dyDescent="0.2">
      <c r="A39" s="66" t="s">
        <v>43</v>
      </c>
    </row>
  </sheetData>
  <mergeCells count="4">
    <mergeCell ref="A1:K1"/>
    <mergeCell ref="A2:K2"/>
    <mergeCell ref="A3:K3"/>
    <mergeCell ref="A5:A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Britt</dc:creator>
  <cp:lastModifiedBy>Taylor Britt</cp:lastModifiedBy>
  <dcterms:created xsi:type="dcterms:W3CDTF">2023-11-27T16:23:26Z</dcterms:created>
  <dcterms:modified xsi:type="dcterms:W3CDTF">2023-11-27T16:27:49Z</dcterms:modified>
</cp:coreProperties>
</file>